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D:\Dropbox (Mentenova)\Institutional\Clients\Columbus Retirement Fund\Investment Consulting Services\Items for Quarterly Updates\Asset Allocation Tool\For Website\"/>
    </mc:Choice>
  </mc:AlternateContent>
  <xr:revisionPtr revIDLastSave="0" documentId="13_ncr:1_{4D0AB08B-CC29-4A6C-B908-3452298A9B0D}" xr6:coauthVersionLast="47" xr6:coauthVersionMax="47" xr10:uidLastSave="{00000000-0000-0000-0000-000000000000}"/>
  <workbookProtection workbookAlgorithmName="SHA-512" workbookHashValue="6u2U78GxFA96hYdN0+pE+PErwpN/QKeSiL0NsXP3BA7eybFwlmS/0ffVjz18bRqWsbEeBooSVorlgW4jTYpEyA==" workbookSaltValue="478Jd2Uus8zCQHrAqMtbxg==" workbookSpinCount="100000" lockStructure="1"/>
  <bookViews>
    <workbookView xWindow="-108" yWindow="-108" windowWidth="23256" windowHeight="12576" xr2:uid="{00000000-000D-0000-FFFF-FFFF00000000}"/>
  </bookViews>
  <sheets>
    <sheet name="CRF Portfolio Selection" sheetId="1" r:id="rId1"/>
    <sheet name="Fund Informati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2" l="1"/>
  <c r="D26" i="2" s="1"/>
  <c r="D20" i="2"/>
  <c r="D22" i="2" s="1"/>
  <c r="D17" i="2"/>
  <c r="D18" i="2" s="1"/>
  <c r="D16" i="2"/>
  <c r="D13" i="2"/>
  <c r="D12" i="2"/>
  <c r="D14" i="2" s="1"/>
  <c r="D9" i="2"/>
  <c r="D8" i="2"/>
  <c r="D5" i="2"/>
  <c r="D4" i="2"/>
  <c r="C21" i="2"/>
  <c r="C22" i="2" s="1"/>
  <c r="C20" i="2"/>
  <c r="C30" i="2" s="1"/>
  <c r="C17" i="2"/>
  <c r="C18" i="2" s="1"/>
  <c r="C16" i="2"/>
  <c r="C13" i="2"/>
  <c r="C12" i="2"/>
  <c r="C9" i="2"/>
  <c r="C8" i="2"/>
  <c r="C5" i="2"/>
  <c r="C6" i="2" s="1"/>
  <c r="C4" i="2"/>
  <c r="E31" i="2"/>
  <c r="F31" i="2"/>
  <c r="E30" i="2"/>
  <c r="F30" i="2"/>
  <c r="E29" i="2"/>
  <c r="F29" i="2"/>
  <c r="E26" i="2"/>
  <c r="F26" i="2"/>
  <c r="C26" i="2"/>
  <c r="E22" i="2"/>
  <c r="F22" i="2"/>
  <c r="E18" i="2"/>
  <c r="F18" i="2"/>
  <c r="E14" i="2"/>
  <c r="F14" i="2"/>
  <c r="E10" i="2"/>
  <c r="F10" i="2"/>
  <c r="D6" i="2"/>
  <c r="E6" i="2"/>
  <c r="F6" i="2"/>
  <c r="K9" i="2"/>
  <c r="D10" i="2" l="1"/>
  <c r="D29" i="2" s="1"/>
  <c r="D31" i="2"/>
  <c r="D30" i="2"/>
  <c r="C14" i="2"/>
  <c r="I14" i="2" s="1"/>
  <c r="C10" i="2"/>
  <c r="C29" i="2" s="1"/>
  <c r="C31" i="2"/>
  <c r="C7" i="1"/>
  <c r="D7" i="1" s="1"/>
  <c r="E18" i="1"/>
  <c r="D18" i="1"/>
  <c r="I5" i="2"/>
  <c r="I6" i="2"/>
  <c r="I7" i="2"/>
  <c r="I8" i="2"/>
  <c r="I9" i="2"/>
  <c r="I11" i="2"/>
  <c r="I12" i="2"/>
  <c r="I13" i="2"/>
  <c r="I15" i="2"/>
  <c r="I16" i="2"/>
  <c r="I17" i="2"/>
  <c r="I18" i="2"/>
  <c r="I19" i="2"/>
  <c r="I20" i="2"/>
  <c r="I21" i="2"/>
  <c r="I22" i="2"/>
  <c r="I23" i="2"/>
  <c r="I24" i="2"/>
  <c r="I25" i="2"/>
  <c r="I26" i="2"/>
  <c r="I27" i="2"/>
  <c r="I4" i="2"/>
  <c r="H5" i="2"/>
  <c r="H6" i="2"/>
  <c r="H7" i="2"/>
  <c r="H8" i="2"/>
  <c r="H9" i="2"/>
  <c r="H11" i="2"/>
  <c r="H12" i="2"/>
  <c r="H13" i="2"/>
  <c r="H15" i="2"/>
  <c r="H16" i="2"/>
  <c r="H17" i="2"/>
  <c r="H18" i="2"/>
  <c r="H19" i="2"/>
  <c r="H20" i="2"/>
  <c r="H21" i="2"/>
  <c r="H22" i="2"/>
  <c r="H23" i="2"/>
  <c r="H24" i="2"/>
  <c r="H25" i="2"/>
  <c r="H26" i="2"/>
  <c r="H27" i="2"/>
  <c r="H4" i="2"/>
  <c r="E15" i="1"/>
  <c r="D15" i="1"/>
  <c r="I10" i="2" l="1"/>
  <c r="H10" i="2"/>
  <c r="H14" i="2"/>
  <c r="F15" i="1"/>
  <c r="A1" i="2"/>
  <c r="E24" i="1" l="1"/>
  <c r="E23" i="1"/>
  <c r="E22" i="1"/>
  <c r="E21" i="1"/>
  <c r="M11" i="2"/>
  <c r="L10" i="2"/>
  <c r="M4" i="2"/>
  <c r="M12" i="2"/>
  <c r="L9" i="2"/>
  <c r="M5" i="2"/>
  <c r="M13" i="2"/>
  <c r="L8" i="2"/>
  <c r="M6" i="2"/>
  <c r="M14" i="2"/>
  <c r="L7" i="2"/>
  <c r="L11" i="2"/>
  <c r="M7" i="2"/>
  <c r="L14" i="2"/>
  <c r="L6" i="2"/>
  <c r="M8" i="2"/>
  <c r="L13" i="2"/>
  <c r="L5" i="2"/>
  <c r="M9" i="2"/>
  <c r="L12" i="2"/>
  <c r="L4" i="2"/>
  <c r="M10" i="2"/>
  <c r="M15" i="2" l="1"/>
  <c r="L15" i="2"/>
</calcChain>
</file>

<file path=xl/sharedStrings.xml><?xml version="1.0" encoding="utf-8"?>
<sst xmlns="http://schemas.openxmlformats.org/spreadsheetml/2006/main" count="69" uniqueCount="51">
  <si>
    <t>CRF Balanced Plus Portfolio</t>
  </si>
  <si>
    <t>CRF Balanced Portfolio</t>
  </si>
  <si>
    <t>CRF Stable Portfolio</t>
  </si>
  <si>
    <t>CRF Money Market Portfolio</t>
  </si>
  <si>
    <t>Domestic Equity</t>
  </si>
  <si>
    <t>Global Equity</t>
  </si>
  <si>
    <t>Total Equity</t>
  </si>
  <si>
    <t>Domestic Property</t>
  </si>
  <si>
    <t>Global Property</t>
  </si>
  <si>
    <t>Total Property</t>
  </si>
  <si>
    <t>Domestic Bonds</t>
  </si>
  <si>
    <t>Global Bonds</t>
  </si>
  <si>
    <t>Total Bonds</t>
  </si>
  <si>
    <t>Domestic Cash</t>
  </si>
  <si>
    <t>Global Cash</t>
  </si>
  <si>
    <t>Total Cash</t>
  </si>
  <si>
    <t>Domestic Alternatives</t>
  </si>
  <si>
    <t>Global Alternatives</t>
  </si>
  <si>
    <t>Total Alternatives</t>
  </si>
  <si>
    <t>Current Split</t>
  </si>
  <si>
    <t>Proposed Split</t>
  </si>
  <si>
    <t>Portfolio Return Target</t>
  </si>
  <si>
    <t>CPI + 6%</t>
  </si>
  <si>
    <t>CPI + 5%</t>
  </si>
  <si>
    <t>CPI</t>
  </si>
  <si>
    <t>Portfolio</t>
  </si>
  <si>
    <t>Effective CPI Target</t>
  </si>
  <si>
    <t>Pension Fund Value</t>
  </si>
  <si>
    <t>Provident Fund Value</t>
  </si>
  <si>
    <t>Total</t>
  </si>
  <si>
    <t>Estimated 20 Year Return Difference</t>
  </si>
  <si>
    <t>Estimated 10 Year Return Difference</t>
  </si>
  <si>
    <t>Estimated 30 Year Return Difference</t>
  </si>
  <si>
    <t>Estimated 40 Year Return Difference</t>
  </si>
  <si>
    <t>Enter your current portfolio split and proposed split to compare to below</t>
  </si>
  <si>
    <t>Enter your current fund values below (These are available on your benefit statement)</t>
  </si>
  <si>
    <t>Please note that the estimates below do not take into account your future contributions</t>
  </si>
  <si>
    <t>If you are opting out of the default life stage investment strategy it is important to understand the impact that your choices may have. This tools assists in showing you how your asset allocation and expected returns are affected by changing your portfolio allocation. It also shows the effective inflation target (CPI) of the proposed mix as well as the expected difference in the returns. 
Please note that any projections provided are estimates and depend on future market returns which cannot be predicted upfront. Consult your financial advisor for assistance if required.</t>
  </si>
  <si>
    <t>Domestic Balanced</t>
  </si>
  <si>
    <t>Global Balanced</t>
  </si>
  <si>
    <t>Total Balanced</t>
  </si>
  <si>
    <t>CPI + x% Target (After Fees)</t>
  </si>
  <si>
    <t>Sygnia Signature 70</t>
  </si>
  <si>
    <t>Sygnia Signature 60</t>
  </si>
  <si>
    <t>65% Sygnia Skeleton 40
35% Sygnia Enhanced Income Portfolio</t>
  </si>
  <si>
    <t>Sygnia Money Market</t>
  </si>
  <si>
    <t>Note: Table to be updated with March 2021 Quarterly Report</t>
  </si>
  <si>
    <t>Check</t>
  </si>
  <si>
    <t>CPI + 2%</t>
  </si>
  <si>
    <t>Note: Where Asset Allocation did not sum to 100% added to each asset class in proportion to shortfall</t>
  </si>
  <si>
    <t>Columbus Retirement Funds - Portfolio Selection Comparison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</si>
</sst>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R&quot;#,##0;\-&quot;R&quot;#,##0"/>
    <numFmt numFmtId="7" formatCode="&quot;R&quot;#,##0.00;\-&quot;R&quot;#,##0.00"/>
    <numFmt numFmtId="43" formatCode="_-* #,##0.00_-;\-* #,##0.00_-;_-* &quot;-&quot;??_-;_-@_-"/>
    <numFmt numFmtId="164" formatCode="0.0%"/>
    <numFmt numFmtId="165" formatCode="0.000%"/>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9"/>
      <color rgb="FFFFFFFF"/>
      <name val="Arial"/>
      <family val="2"/>
    </font>
    <font>
      <sz val="9"/>
      <color rgb="FF000000"/>
      <name val="Arial"/>
      <family val="2"/>
    </font>
    <font>
      <b/>
      <sz val="9"/>
      <color rgb="FF000000"/>
      <name val="Arial"/>
      <family val="2"/>
    </font>
    <font>
      <b/>
      <sz val="14"/>
      <color theme="3"/>
      <name val="Calibri"/>
      <family val="2"/>
      <scheme val="minor"/>
    </font>
    <font>
      <b/>
      <sz val="12"/>
      <color theme="1"/>
      <name val="Calibri"/>
      <family val="2"/>
      <scheme val="minor"/>
    </font>
    <font>
      <sz val="9"/>
      <name val="Arial"/>
      <family val="2"/>
    </font>
  </fonts>
  <fills count="6">
    <fill>
      <patternFill patternType="none"/>
    </fill>
    <fill>
      <patternFill patternType="gray125"/>
    </fill>
    <fill>
      <patternFill patternType="solid">
        <fgColor rgb="FF004574"/>
        <bgColor indexed="64"/>
      </patternFill>
    </fill>
    <fill>
      <patternFill patternType="solid">
        <fgColor rgb="FFFFFFFF"/>
        <bgColor indexed="64"/>
      </patternFill>
    </fill>
    <fill>
      <patternFill patternType="solid">
        <fgColor rgb="FFCBCFD1"/>
        <bgColor indexed="64"/>
      </patternFill>
    </fill>
    <fill>
      <patternFill patternType="solid">
        <fgColor theme="3"/>
        <bgColor indexed="64"/>
      </patternFill>
    </fill>
  </fills>
  <borders count="4">
    <border>
      <left/>
      <right/>
      <top/>
      <bottom/>
      <diagonal/>
    </border>
    <border>
      <left/>
      <right style="medium">
        <color rgb="FF004574"/>
      </right>
      <top style="medium">
        <color rgb="FF004574"/>
      </top>
      <bottom style="medium">
        <color rgb="FF004574"/>
      </bottom>
      <diagonal/>
    </border>
    <border>
      <left style="medium">
        <color rgb="FF004574"/>
      </left>
      <right style="medium">
        <color rgb="FF004574"/>
      </right>
      <top/>
      <bottom style="medium">
        <color rgb="FF004574"/>
      </bottom>
      <diagonal/>
    </border>
    <border>
      <left/>
      <right style="medium">
        <color rgb="FF004574"/>
      </right>
      <top/>
      <bottom style="medium">
        <color rgb="FF00457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5" fillId="2" borderId="1" xfId="0" applyFont="1" applyFill="1" applyBorder="1" applyAlignment="1">
      <alignment horizontal="center" vertical="center" wrapText="1"/>
    </xf>
    <xf numFmtId="0" fontId="6" fillId="3" borderId="2" xfId="0" applyFont="1" applyFill="1" applyBorder="1" applyAlignment="1">
      <alignment vertical="center" wrapText="1"/>
    </xf>
    <xf numFmtId="10" fontId="0" fillId="0" borderId="0" xfId="0" applyNumberFormat="1"/>
    <xf numFmtId="0" fontId="6" fillId="4" borderId="2" xfId="0" applyFont="1" applyFill="1" applyBorder="1" applyAlignment="1">
      <alignment vertical="center" wrapText="1"/>
    </xf>
    <xf numFmtId="0" fontId="7" fillId="3" borderId="2" xfId="0" applyFont="1" applyFill="1" applyBorder="1" applyAlignment="1">
      <alignment vertical="center" wrapText="1"/>
    </xf>
    <xf numFmtId="0" fontId="6" fillId="4" borderId="3" xfId="0" applyFont="1" applyFill="1" applyBorder="1" applyAlignment="1">
      <alignment horizontal="center" vertical="center" wrapText="1"/>
    </xf>
    <xf numFmtId="0" fontId="6" fillId="3" borderId="2" xfId="0" applyFont="1" applyFill="1" applyBorder="1" applyAlignment="1">
      <alignment vertical="center"/>
    </xf>
    <xf numFmtId="0" fontId="6" fillId="4" borderId="2" xfId="0" applyFont="1" applyFill="1" applyBorder="1" applyAlignment="1">
      <alignment vertical="center"/>
    </xf>
    <xf numFmtId="9" fontId="0" fillId="0" borderId="0" xfId="0" applyNumberFormat="1"/>
    <xf numFmtId="9" fontId="0" fillId="0" borderId="0" xfId="2" applyNumberFormat="1" applyFont="1"/>
    <xf numFmtId="0" fontId="6" fillId="0" borderId="0" xfId="0" applyFont="1" applyFill="1" applyBorder="1" applyAlignment="1">
      <alignment vertical="center" wrapText="1"/>
    </xf>
    <xf numFmtId="0" fontId="6" fillId="0" borderId="0" xfId="0" applyFont="1" applyFill="1" applyBorder="1" applyAlignment="1">
      <alignment vertical="center"/>
    </xf>
    <xf numFmtId="164" fontId="0" fillId="0" borderId="0" xfId="0" applyNumberFormat="1"/>
    <xf numFmtId="0" fontId="2" fillId="0" borderId="0" xfId="0" applyFont="1"/>
    <xf numFmtId="0" fontId="0" fillId="0" borderId="0" xfId="0" applyAlignment="1">
      <alignment wrapText="1"/>
    </xf>
    <xf numFmtId="17" fontId="5" fillId="2" borderId="1" xfId="0" applyNumberFormat="1" applyFont="1" applyFill="1" applyBorder="1" applyAlignment="1">
      <alignment horizontal="center" vertical="center" wrapText="1"/>
    </xf>
    <xf numFmtId="5" fontId="0" fillId="0" borderId="0" xfId="1" applyNumberFormat="1" applyFont="1"/>
    <xf numFmtId="5" fontId="0" fillId="0" borderId="0" xfId="0" applyNumberFormat="1"/>
    <xf numFmtId="7" fontId="0" fillId="0" borderId="0" xfId="0" applyNumberFormat="1"/>
    <xf numFmtId="0" fontId="3" fillId="0" borderId="0" xfId="0" applyFont="1" applyAlignment="1">
      <alignment wrapText="1"/>
    </xf>
    <xf numFmtId="0" fontId="3" fillId="0" borderId="0" xfId="0" applyFont="1"/>
    <xf numFmtId="0" fontId="8" fillId="0" borderId="0" xfId="0" applyFont="1" applyAlignment="1">
      <alignment horizontal="center"/>
    </xf>
    <xf numFmtId="0" fontId="8" fillId="0" borderId="0" xfId="0" applyFont="1" applyAlignment="1"/>
    <xf numFmtId="9" fontId="4" fillId="5" borderId="0" xfId="2" applyFont="1" applyFill="1" applyProtection="1">
      <protection locked="0"/>
    </xf>
    <xf numFmtId="5" fontId="4" fillId="5" borderId="0" xfId="1" applyNumberFormat="1" applyFont="1" applyFill="1" applyProtection="1">
      <protection locked="0"/>
    </xf>
    <xf numFmtId="0" fontId="3" fillId="0" borderId="0" xfId="0" applyFont="1" applyAlignment="1">
      <alignment horizontal="center" wrapText="1"/>
    </xf>
    <xf numFmtId="0" fontId="10" fillId="3" borderId="2" xfId="0" applyFont="1" applyFill="1" applyBorder="1" applyAlignment="1">
      <alignment vertical="center" wrapText="1"/>
    </xf>
    <xf numFmtId="0" fontId="7" fillId="4" borderId="2" xfId="0" applyFont="1" applyFill="1" applyBorder="1" applyAlignment="1">
      <alignment vertical="center" wrapText="1"/>
    </xf>
    <xf numFmtId="17" fontId="5" fillId="2" borderId="3"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4" fontId="7" fillId="3" borderId="3" xfId="0" applyNumberFormat="1" applyFont="1" applyFill="1" applyBorder="1" applyAlignment="1">
      <alignment horizontal="center" vertical="center" wrapText="1"/>
    </xf>
    <xf numFmtId="164" fontId="6" fillId="3" borderId="3" xfId="0" applyNumberFormat="1" applyFont="1" applyFill="1" applyBorder="1" applyAlignment="1">
      <alignment horizontal="center" vertical="center" wrapText="1"/>
    </xf>
    <xf numFmtId="165" fontId="0" fillId="0" borderId="0" xfId="0" applyNumberFormat="1"/>
    <xf numFmtId="0" fontId="9" fillId="0" borderId="0" xfId="0" applyFont="1" applyAlignment="1">
      <alignment horizontal="left"/>
    </xf>
    <xf numFmtId="0" fontId="0" fillId="0" borderId="0" xfId="0" applyAlignment="1">
      <alignment horizontal="left" vertical="center" wrapText="1"/>
    </xf>
    <xf numFmtId="0" fontId="8" fillId="0" borderId="0" xfId="0" applyFont="1" applyAlignment="1">
      <alignment horizontal="center"/>
    </xf>
    <xf numFmtId="0" fontId="9"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Asset Allocation</a:t>
            </a:r>
            <a:r>
              <a:rPr lang="en-ZA" baseline="0"/>
              <a:t> Impact</a:t>
            </a:r>
            <a:endParaRPr lang="en-Z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9830342523799"/>
          <c:y val="0.10328582739509105"/>
          <c:w val="0.88167819408769454"/>
          <c:h val="0.57437983553718486"/>
        </c:manualLayout>
      </c:layout>
      <c:barChart>
        <c:barDir val="col"/>
        <c:grouping val="clustered"/>
        <c:varyColors val="0"/>
        <c:ser>
          <c:idx val="0"/>
          <c:order val="0"/>
          <c:tx>
            <c:strRef>
              <c:f>'Fund Information'!$L$2</c:f>
              <c:strCache>
                <c:ptCount val="1"/>
                <c:pt idx="0">
                  <c:v>Current Split</c:v>
                </c:pt>
              </c:strCache>
            </c:strRef>
          </c:tx>
          <c:spPr>
            <a:solidFill>
              <a:schemeClr val="accent1"/>
            </a:solidFill>
            <a:ln>
              <a:noFill/>
            </a:ln>
            <a:effectLst/>
          </c:spPr>
          <c:invertIfNegative val="0"/>
          <c:cat>
            <c:strRef>
              <c:f>'Fund Information'!$K$4:$K$14</c:f>
              <c:strCache>
                <c:ptCount val="11"/>
                <c:pt idx="0">
                  <c:v>Domestic Equity</c:v>
                </c:pt>
                <c:pt idx="1">
                  <c:v>Domestic Property</c:v>
                </c:pt>
                <c:pt idx="2">
                  <c:v>Domestic Bonds</c:v>
                </c:pt>
                <c:pt idx="3">
                  <c:v>Domestic Cash</c:v>
                </c:pt>
                <c:pt idx="4">
                  <c:v>Domestic Alternatives</c:v>
                </c:pt>
                <c:pt idx="5">
                  <c:v>Domestic Balanced</c:v>
                </c:pt>
                <c:pt idx="6">
                  <c:v>Global Equity</c:v>
                </c:pt>
                <c:pt idx="7">
                  <c:v>Global Property</c:v>
                </c:pt>
                <c:pt idx="8">
                  <c:v>Global Bonds</c:v>
                </c:pt>
                <c:pt idx="9">
                  <c:v>Global Cash</c:v>
                </c:pt>
                <c:pt idx="10">
                  <c:v>Global Alternatives</c:v>
                </c:pt>
              </c:strCache>
            </c:strRef>
          </c:cat>
          <c:val>
            <c:numRef>
              <c:f>'Fund Information'!$L$4:$L$14</c:f>
              <c:numCache>
                <c:formatCode>0.0%</c:formatCode>
                <c:ptCount val="11"/>
                <c:pt idx="0">
                  <c:v>0.33800000000000002</c:v>
                </c:pt>
                <c:pt idx="1">
                  <c:v>8.1000000000000003E-2</c:v>
                </c:pt>
                <c:pt idx="2">
                  <c:v>0.3</c:v>
                </c:pt>
                <c:pt idx="3">
                  <c:v>8.7999999999999995E-2</c:v>
                </c:pt>
                <c:pt idx="4">
                  <c:v>0</c:v>
                </c:pt>
                <c:pt idx="5">
                  <c:v>4.0000000000000001E-3</c:v>
                </c:pt>
                <c:pt idx="6">
                  <c:v>0.14199999999999999</c:v>
                </c:pt>
                <c:pt idx="7">
                  <c:v>3.0000000000000001E-3</c:v>
                </c:pt>
                <c:pt idx="8">
                  <c:v>1.6E-2</c:v>
                </c:pt>
                <c:pt idx="9">
                  <c:v>2.8000000000000001E-2</c:v>
                </c:pt>
                <c:pt idx="10">
                  <c:v>0</c:v>
                </c:pt>
              </c:numCache>
            </c:numRef>
          </c:val>
          <c:extLst>
            <c:ext xmlns:c16="http://schemas.microsoft.com/office/drawing/2014/chart" uri="{C3380CC4-5D6E-409C-BE32-E72D297353CC}">
              <c16:uniqueId val="{00000000-D891-4D93-9252-F34F21F0F3A2}"/>
            </c:ext>
          </c:extLst>
        </c:ser>
        <c:ser>
          <c:idx val="1"/>
          <c:order val="1"/>
          <c:tx>
            <c:strRef>
              <c:f>'Fund Information'!$M$2</c:f>
              <c:strCache>
                <c:ptCount val="1"/>
                <c:pt idx="0">
                  <c:v>Proposed Split</c:v>
                </c:pt>
              </c:strCache>
            </c:strRef>
          </c:tx>
          <c:spPr>
            <a:solidFill>
              <a:schemeClr val="accent2"/>
            </a:solidFill>
            <a:ln>
              <a:noFill/>
            </a:ln>
            <a:effectLst/>
          </c:spPr>
          <c:invertIfNegative val="0"/>
          <c:cat>
            <c:strRef>
              <c:f>'Fund Information'!$K$4:$K$14</c:f>
              <c:strCache>
                <c:ptCount val="11"/>
                <c:pt idx="0">
                  <c:v>Domestic Equity</c:v>
                </c:pt>
                <c:pt idx="1">
                  <c:v>Domestic Property</c:v>
                </c:pt>
                <c:pt idx="2">
                  <c:v>Domestic Bonds</c:v>
                </c:pt>
                <c:pt idx="3">
                  <c:v>Domestic Cash</c:v>
                </c:pt>
                <c:pt idx="4">
                  <c:v>Domestic Alternatives</c:v>
                </c:pt>
                <c:pt idx="5">
                  <c:v>Domestic Balanced</c:v>
                </c:pt>
                <c:pt idx="6">
                  <c:v>Global Equity</c:v>
                </c:pt>
                <c:pt idx="7">
                  <c:v>Global Property</c:v>
                </c:pt>
                <c:pt idx="8">
                  <c:v>Global Bonds</c:v>
                </c:pt>
                <c:pt idx="9">
                  <c:v>Global Cash</c:v>
                </c:pt>
                <c:pt idx="10">
                  <c:v>Global Alternatives</c:v>
                </c:pt>
              </c:strCache>
            </c:strRef>
          </c:cat>
          <c:val>
            <c:numRef>
              <c:f>'Fund Information'!$M$4:$M$14</c:f>
              <c:numCache>
                <c:formatCode>0.0%</c:formatCode>
                <c:ptCount val="11"/>
                <c:pt idx="0">
                  <c:v>0.42952374399999999</c:v>
                </c:pt>
                <c:pt idx="1">
                  <c:v>3.0938976000000003E-2</c:v>
                </c:pt>
                <c:pt idx="2">
                  <c:v>0.17954947199999999</c:v>
                </c:pt>
                <c:pt idx="3">
                  <c:v>3.9708463999999999E-2</c:v>
                </c:pt>
                <c:pt idx="4">
                  <c:v>4.3398095999999997E-2</c:v>
                </c:pt>
                <c:pt idx="5">
                  <c:v>8.0000000000000004E-4</c:v>
                </c:pt>
                <c:pt idx="6">
                  <c:v>0.23474566399999999</c:v>
                </c:pt>
                <c:pt idx="7">
                  <c:v>1.1244816000000001E-2</c:v>
                </c:pt>
                <c:pt idx="8">
                  <c:v>1.6301311999999998E-2</c:v>
                </c:pt>
                <c:pt idx="9">
                  <c:v>1.2150655999999999E-2</c:v>
                </c:pt>
                <c:pt idx="10">
                  <c:v>1.6376639999999998E-3</c:v>
                </c:pt>
              </c:numCache>
            </c:numRef>
          </c:val>
          <c:extLst>
            <c:ext xmlns:c16="http://schemas.microsoft.com/office/drawing/2014/chart" uri="{C3380CC4-5D6E-409C-BE32-E72D297353CC}">
              <c16:uniqueId val="{00000001-D891-4D93-9252-F34F21F0F3A2}"/>
            </c:ext>
          </c:extLst>
        </c:ser>
        <c:dLbls>
          <c:showLegendKey val="0"/>
          <c:showVal val="0"/>
          <c:showCatName val="0"/>
          <c:showSerName val="0"/>
          <c:showPercent val="0"/>
          <c:showBubbleSize val="0"/>
        </c:dLbls>
        <c:gapWidth val="219"/>
        <c:overlap val="-27"/>
        <c:axId val="2058812687"/>
        <c:axId val="2052876079"/>
      </c:barChart>
      <c:catAx>
        <c:axId val="2058812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2876079"/>
        <c:crosses val="autoZero"/>
        <c:auto val="1"/>
        <c:lblAlgn val="ctr"/>
        <c:lblOffset val="100"/>
        <c:noMultiLvlLbl val="0"/>
      </c:catAx>
      <c:valAx>
        <c:axId val="205287607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88126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106680</xdr:colOff>
      <xdr:row>24</xdr:row>
      <xdr:rowOff>129540</xdr:rowOff>
    </xdr:from>
    <xdr:to>
      <xdr:col>11</xdr:col>
      <xdr:colOff>53340</xdr:colOff>
      <xdr:row>42</xdr:row>
      <xdr:rowOff>45720</xdr:rowOff>
    </xdr:to>
    <xdr:graphicFrame macro="">
      <xdr:nvGraphicFramePr>
        <xdr:cNvPr id="3" name="Chart 2">
          <a:extLst>
            <a:ext uri="{FF2B5EF4-FFF2-40B4-BE49-F238E27FC236}">
              <a16:creationId xmlns:a16="http://schemas.microsoft.com/office/drawing/2014/main" id="{B174D86A-565F-4F29-82E5-3025E766C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25"/>
  <sheetViews>
    <sheetView tabSelected="1" workbookViewId="0">
      <selection activeCell="C5" sqref="C5"/>
    </sheetView>
  </sheetViews>
  <sheetFormatPr defaultRowHeight="14.4" x14ac:dyDescent="0.3"/>
  <cols>
    <col min="1" max="1" width="3.77734375" customWidth="1"/>
    <col min="2" max="2" width="36" bestFit="1" customWidth="1"/>
    <col min="3" max="3" width="12.109375" bestFit="1" customWidth="1"/>
    <col min="4" max="4" width="8.88671875" customWidth="1"/>
    <col min="5" max="5" width="12.5546875" bestFit="1" customWidth="1"/>
    <col min="6" max="6" width="11.77734375" bestFit="1" customWidth="1"/>
    <col min="7" max="7" width="9.21875" bestFit="1" customWidth="1"/>
  </cols>
  <sheetData>
    <row r="1" spans="2:13" ht="18" x14ac:dyDescent="0.35">
      <c r="B1" s="38" t="s">
        <v>50</v>
      </c>
      <c r="C1" s="38"/>
      <c r="D1" s="38"/>
      <c r="E1" s="38"/>
      <c r="F1" s="38"/>
      <c r="G1" s="38"/>
      <c r="H1" s="38"/>
      <c r="I1" s="38"/>
      <c r="J1" s="38"/>
      <c r="K1" s="38"/>
      <c r="L1" s="23"/>
      <c r="M1" s="23"/>
    </row>
    <row r="2" spans="2:13" ht="103.8" customHeight="1" x14ac:dyDescent="0.3">
      <c r="B2" s="37" t="s">
        <v>37</v>
      </c>
      <c r="C2" s="37"/>
      <c r="D2" s="37"/>
      <c r="E2" s="37"/>
      <c r="F2" s="37"/>
      <c r="G2" s="37"/>
      <c r="H2" s="37"/>
      <c r="I2" s="37"/>
      <c r="J2" s="37"/>
      <c r="K2" s="37"/>
      <c r="L2" s="15"/>
      <c r="M2" s="15"/>
    </row>
    <row r="3" spans="2:13" ht="18" x14ac:dyDescent="0.35">
      <c r="C3" s="22"/>
      <c r="D3" s="22"/>
      <c r="E3" s="22"/>
      <c r="F3" s="22"/>
      <c r="G3" s="22"/>
      <c r="H3" s="22"/>
      <c r="I3" s="22"/>
    </row>
    <row r="4" spans="2:13" ht="15.6" x14ac:dyDescent="0.3">
      <c r="B4" s="36" t="s">
        <v>35</v>
      </c>
      <c r="C4" s="36"/>
      <c r="D4" s="36"/>
      <c r="E4" s="36"/>
      <c r="F4" s="36"/>
      <c r="G4" s="36"/>
      <c r="H4" s="36"/>
      <c r="I4" s="36"/>
      <c r="J4" s="36"/>
      <c r="K4" s="36"/>
    </row>
    <row r="5" spans="2:13" x14ac:dyDescent="0.3">
      <c r="B5" t="s">
        <v>27</v>
      </c>
      <c r="C5" s="25">
        <v>20000</v>
      </c>
    </row>
    <row r="6" spans="2:13" x14ac:dyDescent="0.3">
      <c r="B6" t="s">
        <v>28</v>
      </c>
      <c r="C6" s="25">
        <v>100000</v>
      </c>
    </row>
    <row r="7" spans="2:13" x14ac:dyDescent="0.3">
      <c r="B7" t="s">
        <v>29</v>
      </c>
      <c r="C7" s="17">
        <f>C5+C6</f>
        <v>120000</v>
      </c>
      <c r="D7" s="14" t="str">
        <f>IF(C7&lt;=0,"Please enter at at least your pension or provident fund value","")</f>
        <v/>
      </c>
    </row>
    <row r="9" spans="2:13" ht="15.6" x14ac:dyDescent="0.3">
      <c r="B9" s="36" t="s">
        <v>34</v>
      </c>
      <c r="C9" s="36"/>
      <c r="D9" s="36"/>
      <c r="E9" s="36"/>
      <c r="F9" s="36"/>
      <c r="G9" s="36"/>
      <c r="H9" s="36"/>
      <c r="I9" s="36"/>
      <c r="J9" s="36"/>
      <c r="K9" s="36"/>
    </row>
    <row r="10" spans="2:13" ht="43.2" x14ac:dyDescent="0.3">
      <c r="B10" s="20" t="s">
        <v>25</v>
      </c>
      <c r="C10" s="26" t="s">
        <v>21</v>
      </c>
      <c r="D10" s="26" t="s">
        <v>19</v>
      </c>
      <c r="E10" s="26" t="s">
        <v>20</v>
      </c>
    </row>
    <row r="11" spans="2:13" x14ac:dyDescent="0.3">
      <c r="B11" s="21" t="s">
        <v>0</v>
      </c>
      <c r="C11" t="s">
        <v>22</v>
      </c>
      <c r="D11" s="24"/>
      <c r="E11" s="24">
        <v>0.8</v>
      </c>
    </row>
    <row r="12" spans="2:13" x14ac:dyDescent="0.3">
      <c r="B12" s="21" t="s">
        <v>1</v>
      </c>
      <c r="C12" t="s">
        <v>23</v>
      </c>
      <c r="D12" s="24"/>
      <c r="E12" s="24"/>
    </row>
    <row r="13" spans="2:13" x14ac:dyDescent="0.3">
      <c r="B13" s="21" t="s">
        <v>2</v>
      </c>
      <c r="C13" t="s">
        <v>48</v>
      </c>
      <c r="D13" s="24">
        <v>1</v>
      </c>
      <c r="E13" s="24">
        <v>0.2</v>
      </c>
    </row>
    <row r="14" spans="2:13" x14ac:dyDescent="0.3">
      <c r="B14" s="21" t="s">
        <v>3</v>
      </c>
      <c r="C14" t="s">
        <v>24</v>
      </c>
      <c r="D14" s="24"/>
      <c r="E14" s="24"/>
    </row>
    <row r="15" spans="2:13" x14ac:dyDescent="0.3">
      <c r="D15" s="10">
        <f>SUM(D11:D14)</f>
        <v>1</v>
      </c>
      <c r="E15" s="10">
        <f>SUM(E11:E14)</f>
        <v>1</v>
      </c>
      <c r="F15" s="14" t="str">
        <f>IF((D15+E15)=2,"","Please ensure both splits add up to 100%")</f>
        <v/>
      </c>
    </row>
    <row r="18" spans="2:11" x14ac:dyDescent="0.3">
      <c r="B18" s="21" t="s">
        <v>26</v>
      </c>
      <c r="D18" s="3">
        <f>D11*'Fund Information'!C1+'CRF Portfolio Selection'!D12*'Fund Information'!D1+'CRF Portfolio Selection'!D13*'Fund Information'!E1+'CRF Portfolio Selection'!D14*'Fund Information'!F1</f>
        <v>0.02</v>
      </c>
      <c r="E18" s="3">
        <f>E11*'Fund Information'!C1+'CRF Portfolio Selection'!E12*'Fund Information'!D1+'CRF Portfolio Selection'!E13*'Fund Information'!E1+'CRF Portfolio Selection'!E14*'Fund Information'!F1</f>
        <v>5.2000000000000005E-2</v>
      </c>
    </row>
    <row r="19" spans="2:11" x14ac:dyDescent="0.3">
      <c r="D19" s="3"/>
      <c r="E19" s="3"/>
    </row>
    <row r="20" spans="2:11" ht="15.6" x14ac:dyDescent="0.3">
      <c r="B20" s="39" t="s">
        <v>36</v>
      </c>
      <c r="C20" s="39"/>
      <c r="D20" s="39"/>
      <c r="E20" s="39"/>
      <c r="F20" s="39"/>
      <c r="G20" s="39"/>
      <c r="H20" s="39"/>
      <c r="I20" s="39"/>
      <c r="J20" s="39"/>
      <c r="K20" s="39"/>
    </row>
    <row r="21" spans="2:11" x14ac:dyDescent="0.3">
      <c r="B21" s="21" t="s">
        <v>31</v>
      </c>
      <c r="E21" s="17">
        <f>IF('Fund Information'!A1,$C$7*((1+($E$18-$D$18))^10-1),"")</f>
        <v>44428.925560277574</v>
      </c>
      <c r="G21" s="18"/>
    </row>
    <row r="22" spans="2:11" x14ac:dyDescent="0.3">
      <c r="B22" s="21" t="s">
        <v>30</v>
      </c>
      <c r="E22" s="17">
        <f>IF('Fund Information'!A1,$C$7*((1+($E$18-$D$18))^20-1),"")</f>
        <v>105307.26300756089</v>
      </c>
    </row>
    <row r="23" spans="2:11" x14ac:dyDescent="0.3">
      <c r="B23" s="21" t="s">
        <v>32</v>
      </c>
      <c r="E23" s="17">
        <f>IF('Fund Information'!A1,$C$7*((1+($E$18-$D$18))^30-1),"")</f>
        <v>188725.25981050089</v>
      </c>
    </row>
    <row r="24" spans="2:11" x14ac:dyDescent="0.3">
      <c r="B24" s="21" t="s">
        <v>33</v>
      </c>
      <c r="E24" s="17">
        <f>IF('Fund Information'!A1,$C$7*((1+($E$18-$D$18))^40-1),"")</f>
        <v>303028.0230329851</v>
      </c>
    </row>
    <row r="25" spans="2:11" x14ac:dyDescent="0.3">
      <c r="E25" s="17"/>
      <c r="F25" s="19"/>
    </row>
  </sheetData>
  <sheetProtection algorithmName="SHA-512" hashValue="130JSc0cdTwtZ4BMc5/1VE6NRTZtFxt2GwwvYJUC2eDux8dsi4rP97bZ17zFY8+b7d/2G4vVyD8rzrk4M9lBZg==" saltValue="nfjPfpA4FYu1FeekYYxCug==" spinCount="100000" sheet="1" selectLockedCells="1"/>
  <protectedRanges>
    <protectedRange sqref="C5:C6" name="Range1"/>
    <protectedRange sqref="D11:E14" name="Range2"/>
  </protectedRanges>
  <mergeCells count="5">
    <mergeCell ref="B4:K4"/>
    <mergeCell ref="B2:K2"/>
    <mergeCell ref="B1:K1"/>
    <mergeCell ref="B9:K9"/>
    <mergeCell ref="B20:K20"/>
  </mergeCells>
  <pageMargins left="0.7" right="0.7" top="0.75" bottom="0.75" header="0.3" footer="0.3"/>
  <pageSetup paperSize="9" scale="6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E9CCF-E721-4123-ABFD-4A55FE5892CB}">
  <sheetPr codeName="Sheet2"/>
  <dimension ref="A1:M33"/>
  <sheetViews>
    <sheetView workbookViewId="0">
      <selection activeCell="B34" sqref="B34"/>
    </sheetView>
  </sheetViews>
  <sheetFormatPr defaultRowHeight="14.4" x14ac:dyDescent="0.3"/>
  <cols>
    <col min="2" max="2" width="16.6640625" bestFit="1" customWidth="1"/>
    <col min="3" max="3" width="14" customWidth="1"/>
    <col min="4" max="4" width="10.5546875" customWidth="1"/>
    <col min="5" max="5" width="24.109375" customWidth="1"/>
    <col min="6" max="6" width="16.44140625" customWidth="1"/>
    <col min="10" max="10" width="9.109375" customWidth="1"/>
    <col min="11" max="11" width="16.6640625" bestFit="1" customWidth="1"/>
  </cols>
  <sheetData>
    <row r="1" spans="1:13" ht="15" thickBot="1" x14ac:dyDescent="0.35">
      <c r="A1" t="b">
        <f>IF(AND('CRF Portfolio Selection'!C7&gt;0,'CRF Portfolio Selection'!D15+'CRF Portfolio Selection'!E15=2),TRUE,FALSE)</f>
        <v>1</v>
      </c>
      <c r="B1" t="s">
        <v>41</v>
      </c>
      <c r="C1" s="9">
        <v>0.06</v>
      </c>
      <c r="D1" s="9">
        <v>0.05</v>
      </c>
      <c r="E1" s="9">
        <v>0.02</v>
      </c>
      <c r="F1" s="9">
        <v>0</v>
      </c>
    </row>
    <row r="2" spans="1:13" ht="48.6" thickBot="1" x14ac:dyDescent="0.35">
      <c r="B2" s="16" t="s">
        <v>46</v>
      </c>
      <c r="C2" s="1" t="s">
        <v>0</v>
      </c>
      <c r="D2" s="1" t="s">
        <v>1</v>
      </c>
      <c r="E2" s="1" t="s">
        <v>2</v>
      </c>
      <c r="F2" s="1" t="s">
        <v>3</v>
      </c>
      <c r="H2" s="1" t="s">
        <v>19</v>
      </c>
      <c r="I2" s="1" t="s">
        <v>20</v>
      </c>
      <c r="L2" s="1" t="s">
        <v>19</v>
      </c>
      <c r="M2" s="1" t="s">
        <v>20</v>
      </c>
    </row>
    <row r="3" spans="1:13" ht="36.6" thickBot="1" x14ac:dyDescent="0.35">
      <c r="B3" s="29"/>
      <c r="C3" s="1" t="s">
        <v>42</v>
      </c>
      <c r="D3" s="1" t="s">
        <v>43</v>
      </c>
      <c r="E3" s="1" t="s">
        <v>44</v>
      </c>
      <c r="F3" s="1" t="s">
        <v>45</v>
      </c>
      <c r="H3" s="30"/>
      <c r="I3" s="30"/>
      <c r="L3" s="30"/>
      <c r="M3" s="30"/>
    </row>
    <row r="4" spans="1:13" ht="15" thickBot="1" x14ac:dyDescent="0.35">
      <c r="B4" s="27" t="s">
        <v>4</v>
      </c>
      <c r="C4" s="31">
        <f>44.2%*102.354%</f>
        <v>0.45240467999999995</v>
      </c>
      <c r="D4" s="31">
        <f>41.6%*101.626%</f>
        <v>0.42276416</v>
      </c>
      <c r="E4" s="31">
        <v>0.33800000000000002</v>
      </c>
      <c r="F4" s="31">
        <v>0</v>
      </c>
      <c r="H4" s="3">
        <f>'CRF Portfolio Selection'!$D$11*'Fund Information'!C4+'CRF Portfolio Selection'!$D$12*'Fund Information'!D4+'CRF Portfolio Selection'!$D$13*'Fund Information'!E4+'CRF Portfolio Selection'!$D$14*'Fund Information'!F4</f>
        <v>0.33800000000000002</v>
      </c>
      <c r="I4" s="3">
        <f>'CRF Portfolio Selection'!$E$11*'Fund Information'!C4+'CRF Portfolio Selection'!$E$12*'Fund Information'!D4+'CRF Portfolio Selection'!$E$13*'Fund Information'!E4+'CRF Portfolio Selection'!$E$14*'Fund Information'!F4</f>
        <v>0.42952374399999999</v>
      </c>
      <c r="K4" s="11" t="s">
        <v>4</v>
      </c>
      <c r="L4" s="13">
        <f>IF($A$1,H4,0)</f>
        <v>0.33800000000000002</v>
      </c>
      <c r="M4" s="13">
        <f>IF($A$1,I4,0)</f>
        <v>0.42952374399999999</v>
      </c>
    </row>
    <row r="5" spans="1:13" ht="15" thickBot="1" x14ac:dyDescent="0.35">
      <c r="B5" s="4" t="s">
        <v>5</v>
      </c>
      <c r="C5" s="32">
        <f>25.2%*102.354%</f>
        <v>0.25793207999999995</v>
      </c>
      <c r="D5" s="32">
        <f>24.7%*101.626%</f>
        <v>0.25101621999999996</v>
      </c>
      <c r="E5" s="32">
        <v>0.14199999999999999</v>
      </c>
      <c r="F5" s="32">
        <v>0</v>
      </c>
      <c r="H5" s="3">
        <f>'CRF Portfolio Selection'!$D$11*'Fund Information'!C5+'CRF Portfolio Selection'!$D$12*'Fund Information'!D5+'CRF Portfolio Selection'!$D$13*'Fund Information'!E5+'CRF Portfolio Selection'!$D$14*'Fund Information'!F5</f>
        <v>0.14199999999999999</v>
      </c>
      <c r="I5" s="3">
        <f>'CRF Portfolio Selection'!$E$11*'Fund Information'!C5+'CRF Portfolio Selection'!$E$12*'Fund Information'!D5+'CRF Portfolio Selection'!$E$13*'Fund Information'!E5+'CRF Portfolio Selection'!$E$14*'Fund Information'!F5</f>
        <v>0.23474566399999999</v>
      </c>
      <c r="K5" s="11" t="s">
        <v>7</v>
      </c>
      <c r="L5" s="13">
        <f>IF($A$1,H8,0)</f>
        <v>8.1000000000000003E-2</v>
      </c>
      <c r="M5" s="13">
        <f>IF($A$1,I8,0)</f>
        <v>3.0938976000000003E-2</v>
      </c>
    </row>
    <row r="6" spans="1:13" ht="15" thickBot="1" x14ac:dyDescent="0.35">
      <c r="B6" s="5" t="s">
        <v>6</v>
      </c>
      <c r="C6" s="33">
        <f>C4+C5</f>
        <v>0.7103367599999999</v>
      </c>
      <c r="D6" s="33">
        <f t="shared" ref="D6:F6" si="0">D4+D5</f>
        <v>0.67378037999999996</v>
      </c>
      <c r="E6" s="33">
        <f t="shared" si="0"/>
        <v>0.48</v>
      </c>
      <c r="F6" s="33">
        <f t="shared" si="0"/>
        <v>0</v>
      </c>
      <c r="H6" s="3">
        <f>'CRF Portfolio Selection'!$D$11*'Fund Information'!C6+'CRF Portfolio Selection'!$D$12*'Fund Information'!D6+'CRF Portfolio Selection'!$D$13*'Fund Information'!E6+'CRF Portfolio Selection'!$D$14*'Fund Information'!F6</f>
        <v>0.48</v>
      </c>
      <c r="I6" s="3">
        <f>'CRF Portfolio Selection'!$E$11*'Fund Information'!C6+'CRF Portfolio Selection'!$E$12*'Fund Information'!D6+'CRF Portfolio Selection'!$E$13*'Fund Information'!E6+'CRF Portfolio Selection'!$E$14*'Fund Information'!F6</f>
        <v>0.66426940799999989</v>
      </c>
      <c r="K6" s="11" t="s">
        <v>10</v>
      </c>
      <c r="L6" s="13">
        <f>IF($A$1,H12,0)</f>
        <v>0.3</v>
      </c>
      <c r="M6" s="13">
        <f>IF($A$1,I12,0)</f>
        <v>0.17954947199999999</v>
      </c>
    </row>
    <row r="7" spans="1:13" ht="15" thickBot="1" x14ac:dyDescent="0.35">
      <c r="B7" s="28"/>
      <c r="C7" s="32"/>
      <c r="D7" s="32"/>
      <c r="E7" s="32"/>
      <c r="F7" s="32"/>
      <c r="H7" s="3">
        <f>'CRF Portfolio Selection'!$D$11*'Fund Information'!C7+'CRF Portfolio Selection'!$D$12*'Fund Information'!D7+'CRF Portfolio Selection'!$D$13*'Fund Information'!E7+'CRF Portfolio Selection'!$D$14*'Fund Information'!F7</f>
        <v>0</v>
      </c>
      <c r="I7" s="3">
        <f>'CRF Portfolio Selection'!$E$11*'Fund Information'!C7+'CRF Portfolio Selection'!$E$12*'Fund Information'!D7+'CRF Portfolio Selection'!$E$13*'Fund Information'!E7+'CRF Portfolio Selection'!$E$14*'Fund Information'!F7</f>
        <v>0</v>
      </c>
      <c r="K7" s="11" t="s">
        <v>13</v>
      </c>
      <c r="L7" s="13">
        <f>IF($A$1,H16,0)</f>
        <v>8.7999999999999995E-2</v>
      </c>
      <c r="M7" s="13">
        <f>IF($A$1,I16,0)</f>
        <v>3.9708463999999999E-2</v>
      </c>
    </row>
    <row r="8" spans="1:13" ht="15" thickBot="1" x14ac:dyDescent="0.35">
      <c r="B8" s="2" t="s">
        <v>7</v>
      </c>
      <c r="C8" s="34">
        <f>1.8%*102.354%</f>
        <v>1.8423720000000001E-2</v>
      </c>
      <c r="D8" s="34">
        <f>1.7%*101.626%</f>
        <v>1.7276420000000001E-2</v>
      </c>
      <c r="E8" s="34">
        <v>8.1000000000000003E-2</v>
      </c>
      <c r="F8" s="34">
        <v>0</v>
      </c>
      <c r="H8" s="3">
        <f>'CRF Portfolio Selection'!$D$11*'Fund Information'!C8+'CRF Portfolio Selection'!$D$12*'Fund Information'!D8+'CRF Portfolio Selection'!$D$13*'Fund Information'!E8+'CRF Portfolio Selection'!$D$14*'Fund Information'!F8</f>
        <v>8.1000000000000003E-2</v>
      </c>
      <c r="I8" s="3">
        <f>'CRF Portfolio Selection'!$E$11*'Fund Information'!C8+'CRF Portfolio Selection'!$E$12*'Fund Information'!D8+'CRF Portfolio Selection'!$E$13*'Fund Information'!E8+'CRF Portfolio Selection'!$E$14*'Fund Information'!F8</f>
        <v>3.0938976000000003E-2</v>
      </c>
      <c r="K8" s="12" t="s">
        <v>16</v>
      </c>
      <c r="L8" s="13">
        <f>IF($A$1,H20,0)</f>
        <v>0</v>
      </c>
      <c r="M8" s="13">
        <f>IF($A$1,I20,0)</f>
        <v>4.3398095999999997E-2</v>
      </c>
    </row>
    <row r="9" spans="1:13" ht="15" thickBot="1" x14ac:dyDescent="0.35">
      <c r="B9" s="4" t="s">
        <v>8</v>
      </c>
      <c r="C9" s="32">
        <f>1.3%*102.354%</f>
        <v>1.330602E-2</v>
      </c>
      <c r="D9" s="32">
        <f>1.3%*101.626%</f>
        <v>1.321138E-2</v>
      </c>
      <c r="E9" s="32">
        <v>3.0000000000000001E-3</v>
      </c>
      <c r="F9" s="32">
        <v>0</v>
      </c>
      <c r="H9" s="3">
        <f>'CRF Portfolio Selection'!$D$11*'Fund Information'!C9+'CRF Portfolio Selection'!$D$12*'Fund Information'!D9+'CRF Portfolio Selection'!$D$13*'Fund Information'!E9+'CRF Portfolio Selection'!$D$14*'Fund Information'!F9</f>
        <v>3.0000000000000001E-3</v>
      </c>
      <c r="I9" s="3">
        <f>'CRF Portfolio Selection'!$E$11*'Fund Information'!C9+'CRF Portfolio Selection'!$E$12*'Fund Information'!D9+'CRF Portfolio Selection'!$E$13*'Fund Information'!E9+'CRF Portfolio Selection'!$E$14*'Fund Information'!F9</f>
        <v>1.1244816000000001E-2</v>
      </c>
      <c r="K9" s="11" t="str">
        <f>B24</f>
        <v>Domestic Balanced</v>
      </c>
      <c r="L9" s="13">
        <f>IF($A$1,H24,0)</f>
        <v>4.0000000000000001E-3</v>
      </c>
      <c r="M9" s="13">
        <f>IF($A$1,I24,0)</f>
        <v>8.0000000000000004E-4</v>
      </c>
    </row>
    <row r="10" spans="1:13" ht="15" thickBot="1" x14ac:dyDescent="0.35">
      <c r="B10" s="5" t="s">
        <v>9</v>
      </c>
      <c r="C10" s="33">
        <f>C8+C9</f>
        <v>3.1729739999999999E-2</v>
      </c>
      <c r="D10" s="33">
        <f t="shared" ref="D10:F10" si="1">D8+D9</f>
        <v>3.0487800000000002E-2</v>
      </c>
      <c r="E10" s="33">
        <f t="shared" si="1"/>
        <v>8.4000000000000005E-2</v>
      </c>
      <c r="F10" s="33">
        <f t="shared" si="1"/>
        <v>0</v>
      </c>
      <c r="H10" s="3">
        <f>'CRF Portfolio Selection'!$D$11*'Fund Information'!C10+'CRF Portfolio Selection'!$D$12*'Fund Information'!D10+'CRF Portfolio Selection'!$D$13*'Fund Information'!E10+'CRF Portfolio Selection'!$D$14*'Fund Information'!F10</f>
        <v>8.4000000000000005E-2</v>
      </c>
      <c r="I10" s="3">
        <f>'CRF Portfolio Selection'!$E$11*'Fund Information'!C10+'CRF Portfolio Selection'!$E$12*'Fund Information'!D10+'CRF Portfolio Selection'!$E$13*'Fund Information'!E10+'CRF Portfolio Selection'!$E$14*'Fund Information'!F10</f>
        <v>4.2183792000000005E-2</v>
      </c>
      <c r="K10" s="11" t="s">
        <v>5</v>
      </c>
      <c r="L10" s="13">
        <f>IF($A$1,H5,0)</f>
        <v>0.14199999999999999</v>
      </c>
      <c r="M10" s="13">
        <f>IF($A$1,I5,0)</f>
        <v>0.23474566399999999</v>
      </c>
    </row>
    <row r="11" spans="1:13" ht="15" thickBot="1" x14ac:dyDescent="0.35">
      <c r="B11" s="28"/>
      <c r="C11" s="32"/>
      <c r="D11" s="32"/>
      <c r="E11" s="32"/>
      <c r="F11" s="32"/>
      <c r="H11" s="3">
        <f>'CRF Portfolio Selection'!$D$11*'Fund Information'!C11+'CRF Portfolio Selection'!$D$12*'Fund Information'!D11+'CRF Portfolio Selection'!$D$13*'Fund Information'!E11+'CRF Portfolio Selection'!$D$14*'Fund Information'!F11</f>
        <v>0</v>
      </c>
      <c r="I11" s="3">
        <f>'CRF Portfolio Selection'!$E$11*'Fund Information'!C11+'CRF Portfolio Selection'!$E$12*'Fund Information'!D11+'CRF Portfolio Selection'!$E$13*'Fund Information'!E11+'CRF Portfolio Selection'!$E$14*'Fund Information'!F11</f>
        <v>0</v>
      </c>
      <c r="K11" s="11" t="s">
        <v>8</v>
      </c>
      <c r="L11" s="13">
        <f>IF($A$1,H9,0)</f>
        <v>3.0000000000000001E-3</v>
      </c>
      <c r="M11" s="13">
        <f>IF($A$1,I9,0)</f>
        <v>1.1244816000000001E-2</v>
      </c>
    </row>
    <row r="12" spans="1:13" ht="15" thickBot="1" x14ac:dyDescent="0.35">
      <c r="B12" s="2" t="s">
        <v>10</v>
      </c>
      <c r="C12" s="34">
        <f>14.6%*102.354%</f>
        <v>0.14943683999999999</v>
      </c>
      <c r="D12" s="34">
        <f>16.9%*101.626%</f>
        <v>0.17174793999999996</v>
      </c>
      <c r="E12" s="34">
        <v>0.3</v>
      </c>
      <c r="F12" s="34">
        <v>0.318</v>
      </c>
      <c r="H12" s="3">
        <f>'CRF Portfolio Selection'!$D$11*'Fund Information'!C12+'CRF Portfolio Selection'!$D$12*'Fund Information'!D12+'CRF Portfolio Selection'!$D$13*'Fund Information'!E12+'CRF Portfolio Selection'!$D$14*'Fund Information'!F12</f>
        <v>0.3</v>
      </c>
      <c r="I12" s="3">
        <f>'CRF Portfolio Selection'!$E$11*'Fund Information'!C12+'CRF Portfolio Selection'!$E$12*'Fund Information'!D12+'CRF Portfolio Selection'!$E$13*'Fund Information'!E12+'CRF Portfolio Selection'!$E$14*'Fund Information'!F12</f>
        <v>0.17954947199999999</v>
      </c>
      <c r="K12" s="11" t="s">
        <v>11</v>
      </c>
      <c r="L12" s="13">
        <f>IF($A$1,H13,0)</f>
        <v>1.6E-2</v>
      </c>
      <c r="M12" s="13">
        <f>IF($A$1,I13,0)</f>
        <v>1.6301311999999998E-2</v>
      </c>
    </row>
    <row r="13" spans="1:13" ht="15" thickBot="1" x14ac:dyDescent="0.35">
      <c r="B13" s="4" t="s">
        <v>11</v>
      </c>
      <c r="C13" s="32">
        <f>1.6%*102.354%</f>
        <v>1.6376639999999998E-2</v>
      </c>
      <c r="D13" s="32">
        <f>1.9%*101.626%</f>
        <v>1.930894E-2</v>
      </c>
      <c r="E13" s="32">
        <v>1.6E-2</v>
      </c>
      <c r="F13" s="32">
        <v>0</v>
      </c>
      <c r="H13" s="3">
        <f>'CRF Portfolio Selection'!$D$11*'Fund Information'!C13+'CRF Portfolio Selection'!$D$12*'Fund Information'!D13+'CRF Portfolio Selection'!$D$13*'Fund Information'!E13+'CRF Portfolio Selection'!$D$14*'Fund Information'!F13</f>
        <v>1.6E-2</v>
      </c>
      <c r="I13" s="3">
        <f>'CRF Portfolio Selection'!$E$11*'Fund Information'!C13+'CRF Portfolio Selection'!$E$12*'Fund Information'!D13+'CRF Portfolio Selection'!$E$13*'Fund Information'!E13+'CRF Portfolio Selection'!$E$14*'Fund Information'!F13</f>
        <v>1.6301311999999998E-2</v>
      </c>
      <c r="K13" s="11" t="s">
        <v>14</v>
      </c>
      <c r="L13" s="13">
        <f>IF($A$1,H17,0)</f>
        <v>2.8000000000000001E-2</v>
      </c>
      <c r="M13" s="13">
        <f>IF($A$1,I17,0)</f>
        <v>1.2150655999999999E-2</v>
      </c>
    </row>
    <row r="14" spans="1:13" ht="15" thickBot="1" x14ac:dyDescent="0.35">
      <c r="B14" s="5" t="s">
        <v>12</v>
      </c>
      <c r="C14" s="33">
        <f>C12+C13</f>
        <v>0.16581347999999999</v>
      </c>
      <c r="D14" s="33">
        <f t="shared" ref="D14:F14" si="2">D12+D13</f>
        <v>0.19105687999999996</v>
      </c>
      <c r="E14" s="33">
        <f t="shared" si="2"/>
        <v>0.316</v>
      </c>
      <c r="F14" s="33">
        <f t="shared" si="2"/>
        <v>0.318</v>
      </c>
      <c r="H14" s="3">
        <f>'CRF Portfolio Selection'!$D$11*'Fund Information'!C14+'CRF Portfolio Selection'!$D$12*'Fund Information'!D14+'CRF Portfolio Selection'!$D$13*'Fund Information'!E14+'CRF Portfolio Selection'!$D$14*'Fund Information'!F14</f>
        <v>0.316</v>
      </c>
      <c r="I14" s="3">
        <f>'CRF Portfolio Selection'!$E$11*'Fund Information'!C14+'CRF Portfolio Selection'!$E$12*'Fund Information'!D14+'CRF Portfolio Selection'!$E$13*'Fund Information'!E14+'CRF Portfolio Selection'!$E$14*'Fund Information'!F14</f>
        <v>0.195850784</v>
      </c>
      <c r="K14" s="12" t="s">
        <v>17</v>
      </c>
      <c r="L14" s="13">
        <f>IF($A$1,H21,0)</f>
        <v>0</v>
      </c>
      <c r="M14" s="13">
        <f>IF($A$1,I21,0)</f>
        <v>1.6376639999999998E-3</v>
      </c>
    </row>
    <row r="15" spans="1:13" ht="15" thickBot="1" x14ac:dyDescent="0.35">
      <c r="B15" s="28"/>
      <c r="C15" s="32"/>
      <c r="D15" s="32"/>
      <c r="E15" s="32"/>
      <c r="F15" s="32"/>
      <c r="H15" s="3">
        <f>'CRF Portfolio Selection'!$D$11*'Fund Information'!C15+'CRF Portfolio Selection'!$D$12*'Fund Information'!D15+'CRF Portfolio Selection'!$D$13*'Fund Information'!E15+'CRF Portfolio Selection'!$D$14*'Fund Information'!F15</f>
        <v>0</v>
      </c>
      <c r="I15" s="3">
        <f>'CRF Portfolio Selection'!$E$11*'Fund Information'!C15+'CRF Portfolio Selection'!$E$12*'Fund Information'!D15+'CRF Portfolio Selection'!$E$13*'Fund Information'!E15+'CRF Portfolio Selection'!$E$14*'Fund Information'!F15</f>
        <v>0</v>
      </c>
      <c r="L15" s="9">
        <f>SUM(L4:L14)</f>
        <v>1</v>
      </c>
      <c r="M15" s="9">
        <f>SUM(M4:M14)</f>
        <v>0.99999886399999993</v>
      </c>
    </row>
    <row r="16" spans="1:13" ht="15" thickBot="1" x14ac:dyDescent="0.35">
      <c r="B16" s="2" t="s">
        <v>13</v>
      </c>
      <c r="C16" s="34">
        <f>2.7%*102.354%</f>
        <v>2.763558E-2</v>
      </c>
      <c r="D16" s="34">
        <f>2.9%*101.626%</f>
        <v>2.9471539999999997E-2</v>
      </c>
      <c r="E16" s="34">
        <v>8.7999999999999995E-2</v>
      </c>
      <c r="F16" s="34">
        <v>0.68200000000000005</v>
      </c>
      <c r="H16" s="3">
        <f>'CRF Portfolio Selection'!$D$11*'Fund Information'!C16+'CRF Portfolio Selection'!$D$12*'Fund Information'!D16+'CRF Portfolio Selection'!$D$13*'Fund Information'!E16+'CRF Portfolio Selection'!$D$14*'Fund Information'!F16</f>
        <v>8.7999999999999995E-2</v>
      </c>
      <c r="I16" s="3">
        <f>'CRF Portfolio Selection'!$E$11*'Fund Information'!C16+'CRF Portfolio Selection'!$E$12*'Fund Information'!D16+'CRF Portfolio Selection'!$E$13*'Fund Information'!E16+'CRF Portfolio Selection'!$E$14*'Fund Information'!F16</f>
        <v>3.9708463999999999E-2</v>
      </c>
    </row>
    <row r="17" spans="2:12" ht="15" thickBot="1" x14ac:dyDescent="0.35">
      <c r="B17" s="4" t="s">
        <v>14</v>
      </c>
      <c r="C17" s="32">
        <f>0.8%*102.354%</f>
        <v>8.1883199999999989E-3</v>
      </c>
      <c r="D17" s="32">
        <f>0.9%*101.626%</f>
        <v>9.1463400000000011E-3</v>
      </c>
      <c r="E17" s="32">
        <v>2.8000000000000001E-2</v>
      </c>
      <c r="F17" s="32">
        <v>0</v>
      </c>
      <c r="H17" s="3">
        <f>'CRF Portfolio Selection'!$D$11*'Fund Information'!C17+'CRF Portfolio Selection'!$D$12*'Fund Information'!D17+'CRF Portfolio Selection'!$D$13*'Fund Information'!E17+'CRF Portfolio Selection'!$D$14*'Fund Information'!F17</f>
        <v>2.8000000000000001E-2</v>
      </c>
      <c r="I17" s="3">
        <f>'CRF Portfolio Selection'!$E$11*'Fund Information'!C17+'CRF Portfolio Selection'!$E$12*'Fund Information'!D17+'CRF Portfolio Selection'!$E$13*'Fund Information'!E17+'CRF Portfolio Selection'!$E$14*'Fund Information'!F17</f>
        <v>1.2150655999999999E-2</v>
      </c>
    </row>
    <row r="18" spans="2:12" ht="15" thickBot="1" x14ac:dyDescent="0.35">
      <c r="B18" s="5" t="s">
        <v>15</v>
      </c>
      <c r="C18" s="33">
        <f>C16+C17</f>
        <v>3.5823899999999999E-2</v>
      </c>
      <c r="D18" s="33">
        <f t="shared" ref="D18:F18" si="3">D16+D17</f>
        <v>3.861788E-2</v>
      </c>
      <c r="E18" s="33">
        <f t="shared" si="3"/>
        <v>0.11599999999999999</v>
      </c>
      <c r="F18" s="33">
        <f t="shared" si="3"/>
        <v>0.68200000000000005</v>
      </c>
      <c r="H18" s="3">
        <f>'CRF Portfolio Selection'!$D$11*'Fund Information'!C18+'CRF Portfolio Selection'!$D$12*'Fund Information'!D18+'CRF Portfolio Selection'!$D$13*'Fund Information'!E18+'CRF Portfolio Selection'!$D$14*'Fund Information'!F18</f>
        <v>0.11599999999999999</v>
      </c>
      <c r="I18" s="3">
        <f>'CRF Portfolio Selection'!$E$11*'Fund Information'!C18+'CRF Portfolio Selection'!$E$12*'Fund Information'!D18+'CRF Portfolio Selection'!$E$13*'Fund Information'!E18+'CRF Portfolio Selection'!$E$14*'Fund Information'!F18</f>
        <v>5.1859119999999995E-2</v>
      </c>
    </row>
    <row r="19" spans="2:12" ht="15" thickBot="1" x14ac:dyDescent="0.35">
      <c r="B19" s="28"/>
      <c r="C19" s="32"/>
      <c r="D19" s="32"/>
      <c r="E19" s="32"/>
      <c r="F19" s="32"/>
      <c r="H19" s="3">
        <f>'CRF Portfolio Selection'!$D$11*'Fund Information'!C19+'CRF Portfolio Selection'!$D$12*'Fund Information'!D19+'CRF Portfolio Selection'!$D$13*'Fund Information'!E19+'CRF Portfolio Selection'!$D$14*'Fund Information'!F19</f>
        <v>0</v>
      </c>
      <c r="I19" s="3">
        <f>'CRF Portfolio Selection'!$E$11*'Fund Information'!C19+'CRF Portfolio Selection'!$E$12*'Fund Information'!D19+'CRF Portfolio Selection'!$E$13*'Fund Information'!E19+'CRF Portfolio Selection'!$E$14*'Fund Information'!F19</f>
        <v>0</v>
      </c>
    </row>
    <row r="20" spans="2:12" ht="15" thickBot="1" x14ac:dyDescent="0.35">
      <c r="B20" s="7" t="s">
        <v>16</v>
      </c>
      <c r="C20" s="34">
        <f>5.3%*102.354%</f>
        <v>5.4247619999999989E-2</v>
      </c>
      <c r="D20" s="34">
        <f>6.2%*101.626%</f>
        <v>6.3008120000000001E-2</v>
      </c>
      <c r="E20" s="34">
        <v>0</v>
      </c>
      <c r="F20" s="34">
        <v>0</v>
      </c>
      <c r="H20" s="3">
        <f>'CRF Portfolio Selection'!$D$11*'Fund Information'!C20+'CRF Portfolio Selection'!$D$12*'Fund Information'!D20+'CRF Portfolio Selection'!$D$13*'Fund Information'!E20+'CRF Portfolio Selection'!$D$14*'Fund Information'!F20</f>
        <v>0</v>
      </c>
      <c r="I20" s="3">
        <f>'CRF Portfolio Selection'!$E$11*'Fund Information'!C20+'CRF Portfolio Selection'!$E$12*'Fund Information'!D20+'CRF Portfolio Selection'!$E$13*'Fund Information'!E20+'CRF Portfolio Selection'!$E$14*'Fund Information'!F20</f>
        <v>4.3398095999999997E-2</v>
      </c>
    </row>
    <row r="21" spans="2:12" ht="15" thickBot="1" x14ac:dyDescent="0.35">
      <c r="B21" s="8" t="s">
        <v>17</v>
      </c>
      <c r="C21" s="32">
        <f>0.2%*102.354%</f>
        <v>2.0470799999999997E-3</v>
      </c>
      <c r="D21" s="32">
        <v>0</v>
      </c>
      <c r="E21" s="32">
        <v>0</v>
      </c>
      <c r="F21" s="32">
        <v>0</v>
      </c>
      <c r="H21" s="3">
        <f>'CRF Portfolio Selection'!$D$11*'Fund Information'!C21+'CRF Portfolio Selection'!$D$12*'Fund Information'!D21+'CRF Portfolio Selection'!$D$13*'Fund Information'!E21+'CRF Portfolio Selection'!$D$14*'Fund Information'!F21</f>
        <v>0</v>
      </c>
      <c r="I21" s="3">
        <f>'CRF Portfolio Selection'!$E$11*'Fund Information'!C21+'CRF Portfolio Selection'!$E$12*'Fund Information'!D21+'CRF Portfolio Selection'!$E$13*'Fund Information'!E21+'CRF Portfolio Selection'!$E$14*'Fund Information'!F21</f>
        <v>1.6376639999999998E-3</v>
      </c>
    </row>
    <row r="22" spans="2:12" ht="15" thickBot="1" x14ac:dyDescent="0.35">
      <c r="B22" s="5" t="s">
        <v>18</v>
      </c>
      <c r="C22" s="33">
        <f>C20+C21</f>
        <v>5.6294699999999989E-2</v>
      </c>
      <c r="D22" s="33">
        <f t="shared" ref="D22:F22" si="4">D20+D21</f>
        <v>6.3008120000000001E-2</v>
      </c>
      <c r="E22" s="33">
        <f t="shared" si="4"/>
        <v>0</v>
      </c>
      <c r="F22" s="33">
        <f t="shared" si="4"/>
        <v>0</v>
      </c>
      <c r="H22" s="3">
        <f>'CRF Portfolio Selection'!$D$11*'Fund Information'!C22+'CRF Portfolio Selection'!$D$12*'Fund Information'!D22+'CRF Portfolio Selection'!$D$13*'Fund Information'!E22+'CRF Portfolio Selection'!$D$14*'Fund Information'!F22</f>
        <v>0</v>
      </c>
      <c r="I22" s="3">
        <f>'CRF Portfolio Selection'!$E$11*'Fund Information'!C22+'CRF Portfolio Selection'!$E$12*'Fund Information'!D22+'CRF Portfolio Selection'!$E$13*'Fund Information'!E22+'CRF Portfolio Selection'!$E$14*'Fund Information'!F22</f>
        <v>4.5035759999999994E-2</v>
      </c>
    </row>
    <row r="23" spans="2:12" ht="15" thickBot="1" x14ac:dyDescent="0.35">
      <c r="B23" s="28"/>
      <c r="C23" s="32"/>
      <c r="D23" s="32"/>
      <c r="E23" s="32"/>
      <c r="F23" s="32"/>
      <c r="H23" s="3">
        <f>'CRF Portfolio Selection'!$D$11*'Fund Information'!C23+'CRF Portfolio Selection'!$D$12*'Fund Information'!D23+'CRF Portfolio Selection'!$D$13*'Fund Information'!E23+'CRF Portfolio Selection'!$D$14*'Fund Information'!F23</f>
        <v>0</v>
      </c>
      <c r="I23" s="3">
        <f>'CRF Portfolio Selection'!$E$11*'Fund Information'!C23+'CRF Portfolio Selection'!$E$12*'Fund Information'!D23+'CRF Portfolio Selection'!$E$13*'Fund Information'!E23+'CRF Portfolio Selection'!$E$14*'Fund Information'!F23</f>
        <v>0</v>
      </c>
    </row>
    <row r="24" spans="2:12" ht="15" thickBot="1" x14ac:dyDescent="0.35">
      <c r="B24" s="7" t="s">
        <v>38</v>
      </c>
      <c r="C24" s="34">
        <v>0</v>
      </c>
      <c r="D24" s="34">
        <v>0</v>
      </c>
      <c r="E24" s="34">
        <v>4.0000000000000001E-3</v>
      </c>
      <c r="F24" s="34">
        <v>0</v>
      </c>
      <c r="H24" s="3">
        <f>'CRF Portfolio Selection'!$D$11*'Fund Information'!C24+'CRF Portfolio Selection'!$D$12*'Fund Information'!D24+'CRF Portfolio Selection'!$D$13*'Fund Information'!E24+'CRF Portfolio Selection'!$D$14*'Fund Information'!F24</f>
        <v>4.0000000000000001E-3</v>
      </c>
      <c r="I24" s="3">
        <f>'CRF Portfolio Selection'!$E$11*'Fund Information'!C24+'CRF Portfolio Selection'!$E$12*'Fund Information'!D24+'CRF Portfolio Selection'!$E$13*'Fund Information'!E24+'CRF Portfolio Selection'!$E$14*'Fund Information'!F24</f>
        <v>8.0000000000000004E-4</v>
      </c>
    </row>
    <row r="25" spans="2:12" ht="15" thickBot="1" x14ac:dyDescent="0.35">
      <c r="B25" s="8" t="s">
        <v>39</v>
      </c>
      <c r="C25" s="32">
        <v>0</v>
      </c>
      <c r="D25" s="32">
        <f>0.3%*101.626%</f>
        <v>3.0487800000000001E-3</v>
      </c>
      <c r="E25" s="32">
        <v>0</v>
      </c>
      <c r="F25" s="32">
        <v>0</v>
      </c>
      <c r="H25" s="3">
        <f>'CRF Portfolio Selection'!$D$11*'Fund Information'!C25+'CRF Portfolio Selection'!$D$12*'Fund Information'!D25+'CRF Portfolio Selection'!$D$13*'Fund Information'!E25+'CRF Portfolio Selection'!$D$14*'Fund Information'!F25</f>
        <v>0</v>
      </c>
      <c r="I25" s="3">
        <f>'CRF Portfolio Selection'!$E$11*'Fund Information'!C25+'CRF Portfolio Selection'!$E$12*'Fund Information'!D25+'CRF Portfolio Selection'!$E$13*'Fund Information'!E25+'CRF Portfolio Selection'!$E$14*'Fund Information'!F25</f>
        <v>0</v>
      </c>
    </row>
    <row r="26" spans="2:12" ht="15" thickBot="1" x14ac:dyDescent="0.35">
      <c r="B26" s="5" t="s">
        <v>40</v>
      </c>
      <c r="C26" s="33">
        <f>C24+C25</f>
        <v>0</v>
      </c>
      <c r="D26" s="33">
        <f t="shared" ref="D26:F26" si="5">D24+D25</f>
        <v>3.0487800000000001E-3</v>
      </c>
      <c r="E26" s="33">
        <f t="shared" si="5"/>
        <v>4.0000000000000001E-3</v>
      </c>
      <c r="F26" s="33">
        <f t="shared" si="5"/>
        <v>0</v>
      </c>
      <c r="H26" s="3">
        <f>'CRF Portfolio Selection'!$D$11*'Fund Information'!C26+'CRF Portfolio Selection'!$D$12*'Fund Information'!D26+'CRF Portfolio Selection'!$D$13*'Fund Information'!E26+'CRF Portfolio Selection'!$D$14*'Fund Information'!F26</f>
        <v>4.0000000000000001E-3</v>
      </c>
      <c r="I26" s="3">
        <f>'CRF Portfolio Selection'!$E$11*'Fund Information'!C26+'CRF Portfolio Selection'!$E$12*'Fund Information'!D26+'CRF Portfolio Selection'!$E$13*'Fund Information'!E26+'CRF Portfolio Selection'!$E$14*'Fund Information'!F26</f>
        <v>8.0000000000000004E-4</v>
      </c>
    </row>
    <row r="27" spans="2:12" ht="15" thickBot="1" x14ac:dyDescent="0.35">
      <c r="B27" s="28"/>
      <c r="C27" s="6"/>
      <c r="D27" s="6"/>
      <c r="E27" s="6"/>
      <c r="F27" s="6"/>
      <c r="H27" s="3">
        <f>'CRF Portfolio Selection'!$D$11*'Fund Information'!C27+'CRF Portfolio Selection'!$D$12*'Fund Information'!D27+'CRF Portfolio Selection'!$D$13*'Fund Information'!E27+'CRF Portfolio Selection'!$D$14*'Fund Information'!F27</f>
        <v>0</v>
      </c>
      <c r="I27" s="3">
        <f>'CRF Portfolio Selection'!$E$11*'Fund Information'!C27+'CRF Portfolio Selection'!$E$12*'Fund Information'!D27+'CRF Portfolio Selection'!$E$13*'Fund Information'!E27+'CRF Portfolio Selection'!$E$14*'Fund Information'!F27</f>
        <v>0</v>
      </c>
    </row>
    <row r="29" spans="2:12" x14ac:dyDescent="0.3">
      <c r="B29" t="s">
        <v>47</v>
      </c>
      <c r="C29" s="13">
        <f>C6+C10+C14+C18+C22+C26</f>
        <v>0.99999857999999986</v>
      </c>
      <c r="D29" s="13">
        <f t="shared" ref="D29:F29" si="6">D6+D10+D14+D18+D22+D26</f>
        <v>0.99999983999999986</v>
      </c>
      <c r="E29" s="13">
        <f t="shared" si="6"/>
        <v>0.99999999999999989</v>
      </c>
      <c r="F29" s="13">
        <f t="shared" si="6"/>
        <v>1</v>
      </c>
      <c r="L29" s="35"/>
    </row>
    <row r="30" spans="2:12" x14ac:dyDescent="0.3">
      <c r="C30" s="13">
        <f>C4+C8+C12+C16+C20+C24</f>
        <v>0.70214843999999987</v>
      </c>
      <c r="D30" s="13">
        <f t="shared" ref="D30:F30" si="7">D4+D8+D12+D16+D20+D24</f>
        <v>0.70426817999999991</v>
      </c>
      <c r="E30" s="13">
        <f t="shared" si="7"/>
        <v>0.81100000000000005</v>
      </c>
      <c r="F30" s="13">
        <f t="shared" si="7"/>
        <v>1</v>
      </c>
    </row>
    <row r="31" spans="2:12" x14ac:dyDescent="0.3">
      <c r="C31" s="13">
        <f>C5+C9+C13+C17+C21+C25</f>
        <v>0.29785013999999987</v>
      </c>
      <c r="D31" s="13">
        <f t="shared" ref="D31:F31" si="8">D5+D9+D13+D17+D21+D25</f>
        <v>0.2957316599999999</v>
      </c>
      <c r="E31" s="13">
        <f t="shared" si="8"/>
        <v>0.18899999999999997</v>
      </c>
      <c r="F31" s="13">
        <f t="shared" si="8"/>
        <v>0</v>
      </c>
    </row>
    <row r="33" spans="2:2" x14ac:dyDescent="0.3">
      <c r="B33" t="s">
        <v>49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CRF Portfolio Selection</vt:lpstr>
      <vt:lpstr>Fund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Madhav</dc:creator>
  <cp:lastModifiedBy>Amar Madhav</cp:lastModifiedBy>
  <cp:lastPrinted>2019-10-04T15:28:02Z</cp:lastPrinted>
  <dcterms:created xsi:type="dcterms:W3CDTF">2015-06-05T18:17:20Z</dcterms:created>
  <dcterms:modified xsi:type="dcterms:W3CDTF">2021-07-05T10:17:26Z</dcterms:modified>
</cp:coreProperties>
</file>